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0515" windowHeight="3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9" i="1" l="1"/>
  <c r="L39" i="1"/>
  <c r="M38" i="1"/>
  <c r="M37" i="1"/>
  <c r="M36" i="1"/>
  <c r="L38" i="1"/>
  <c r="C45" i="1" l="1"/>
  <c r="H43" i="1"/>
  <c r="G43" i="1"/>
  <c r="G42" i="1"/>
  <c r="E45" i="1"/>
  <c r="E43" i="1"/>
  <c r="E42" i="1"/>
  <c r="E40" i="1"/>
  <c r="E30" i="1"/>
  <c r="E29" i="1"/>
  <c r="E32" i="1" s="1"/>
  <c r="E34" i="1" s="1"/>
  <c r="E31" i="1"/>
  <c r="E28" i="1"/>
  <c r="E19" i="1"/>
  <c r="E23" i="1"/>
  <c r="E27" i="1"/>
  <c r="E18" i="1"/>
  <c r="C28" i="1"/>
  <c r="B28" i="1"/>
  <c r="B27" i="1"/>
  <c r="F18" i="1"/>
  <c r="B20" i="1"/>
  <c r="B21" i="1" s="1"/>
  <c r="F19" i="1" s="1"/>
  <c r="F22" i="1" s="1"/>
  <c r="F21" i="1"/>
  <c r="F20" i="1"/>
  <c r="E22" i="1"/>
  <c r="E21" i="1"/>
  <c r="E20" i="1"/>
  <c r="H22" i="1" l="1"/>
  <c r="J21" i="1"/>
  <c r="H20" i="1"/>
  <c r="J8" i="1"/>
  <c r="J24" i="1" s="1"/>
  <c r="H18" i="1"/>
  <c r="K24" i="1"/>
  <c r="J20" i="1"/>
  <c r="F11" i="1"/>
  <c r="J19" i="1" l="1"/>
  <c r="Y15" i="1"/>
  <c r="P11" i="1"/>
  <c r="O11" i="1"/>
  <c r="O10" i="1"/>
  <c r="P9" i="1"/>
  <c r="O9" i="1"/>
  <c r="V24" i="1"/>
  <c r="T24" i="1"/>
  <c r="T23" i="1"/>
  <c r="T21" i="1"/>
  <c r="Q21" i="1"/>
  <c r="P24" i="1"/>
  <c r="Q34" i="1"/>
  <c r="N30" i="1"/>
  <c r="N29" i="1"/>
  <c r="N28" i="1"/>
  <c r="N27" i="1"/>
  <c r="P31" i="1"/>
  <c r="P34" i="1"/>
  <c r="P30" i="1"/>
  <c r="P29" i="1"/>
  <c r="M34" i="1"/>
  <c r="M30" i="1"/>
  <c r="M29" i="1"/>
  <c r="M27" i="1"/>
  <c r="N26" i="1"/>
  <c r="N24" i="1"/>
  <c r="H19" i="1" l="1"/>
  <c r="G32" i="1"/>
  <c r="G28" i="1"/>
  <c r="G30" i="1" s="1"/>
  <c r="G29" i="1"/>
  <c r="G37" i="1"/>
  <c r="L33" i="1" l="1"/>
  <c r="J27" i="1"/>
  <c r="J28" i="1" s="1"/>
  <c r="J31" i="1"/>
  <c r="K25" i="1"/>
  <c r="N19" i="1"/>
  <c r="L20" i="1"/>
  <c r="L17" i="1"/>
  <c r="M16" i="1"/>
  <c r="M15" i="1"/>
  <c r="N13" i="1"/>
  <c r="J15" i="1"/>
  <c r="J9" i="1"/>
  <c r="J13" i="1"/>
  <c r="M10" i="1"/>
  <c r="L15" i="1"/>
  <c r="L10" i="1"/>
  <c r="I8" i="1"/>
  <c r="G8" i="1"/>
  <c r="F8" i="1"/>
  <c r="H7" i="1"/>
  <c r="H6" i="1"/>
  <c r="H8" i="1" s="1"/>
  <c r="J18" i="1" l="1"/>
  <c r="J22" i="1" s="1"/>
  <c r="J29" i="1"/>
  <c r="G27" i="1" s="1"/>
  <c r="G31" i="1" s="1"/>
  <c r="G33" i="1" s="1"/>
  <c r="G34" i="1" s="1"/>
  <c r="J30" i="1" l="1"/>
  <c r="J32" i="1" s="1"/>
  <c r="J33" i="1" s="1"/>
</calcChain>
</file>

<file path=xl/sharedStrings.xml><?xml version="1.0" encoding="utf-8"?>
<sst xmlns="http://schemas.openxmlformats.org/spreadsheetml/2006/main" count="45" uniqueCount="39">
  <si>
    <t>Costo pre-original de las turbinas y equipos</t>
  </si>
  <si>
    <t>Transmisión asociada</t>
  </si>
  <si>
    <t>Procedencia de equipos</t>
  </si>
  <si>
    <t>Total</t>
  </si>
  <si>
    <t>Precio pagado por CORPOELEC</t>
  </si>
  <si>
    <t>Justicostos adicionales</t>
  </si>
  <si>
    <t>Justicosto</t>
  </si>
  <si>
    <t>IPC USD</t>
  </si>
  <si>
    <t>IPC VEF</t>
  </si>
  <si>
    <t>Itimización</t>
  </si>
  <si>
    <t>BOP costos</t>
  </si>
  <si>
    <t>Dual fuel conversion</t>
  </si>
  <si>
    <t>Comisión Omar Petit</t>
  </si>
  <si>
    <t>Comisión Khaled</t>
  </si>
  <si>
    <t>Plus</t>
  </si>
  <si>
    <t>Costo totales</t>
  </si>
  <si>
    <t>Precio de Venta</t>
  </si>
  <si>
    <t>Conversion 2.15 a 1 USD</t>
  </si>
  <si>
    <t>Total IPC USD</t>
  </si>
  <si>
    <t>Turbinas</t>
  </si>
  <si>
    <t>Otros</t>
  </si>
  <si>
    <t>Costos IPC condensado</t>
  </si>
  <si>
    <t>Gen Planta</t>
  </si>
  <si>
    <t>IPC</t>
  </si>
  <si>
    <t>GTG</t>
  </si>
  <si>
    <t>Trans</t>
  </si>
  <si>
    <t>Subtotal</t>
  </si>
  <si>
    <t>Unexplained</t>
  </si>
  <si>
    <t>$/kW</t>
  </si>
  <si>
    <t>SDdC</t>
  </si>
  <si>
    <t>JC</t>
  </si>
  <si>
    <t>PC</t>
  </si>
  <si>
    <t>AL</t>
  </si>
  <si>
    <t>PEZ</t>
  </si>
  <si>
    <t>Turbines</t>
  </si>
  <si>
    <t>Dism-Ship-DFC</t>
  </si>
  <si>
    <t>Otros Turb. DF D&amp;S</t>
  </si>
  <si>
    <t>EPC USD</t>
  </si>
  <si>
    <t>EPC Bs. F. en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</si>
</sst>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VEF]\ #,##0_);\([$VEF]\ #,##0\)"/>
    <numFmt numFmtId="166" formatCode="_(* #,##0_);_(* \(#,##0\);_(* &quot;-&quot;??_);_(@_)"/>
    <numFmt numFmtId="167" formatCode="0.0%"/>
    <numFmt numFmtId="168" formatCode="_(&quot;$&quot;* #,##0.0_);_(&quot;$&quot;* \(#,##0.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right" vertical="center"/>
    </xf>
    <xf numFmtId="164" fontId="0" fillId="0" borderId="0" xfId="0" applyNumberFormat="1"/>
    <xf numFmtId="9" fontId="0" fillId="0" borderId="0" xfId="2" applyFont="1"/>
    <xf numFmtId="44" fontId="0" fillId="0" borderId="0" xfId="0" applyNumberFormat="1"/>
    <xf numFmtId="44" fontId="0" fillId="0" borderId="0" xfId="1" applyFont="1"/>
    <xf numFmtId="165" fontId="0" fillId="0" borderId="0" xfId="1" applyNumberFormat="1" applyFont="1" applyAlignment="1">
      <alignment horizontal="right" vertical="center"/>
    </xf>
    <xf numFmtId="164" fontId="0" fillId="0" borderId="0" xfId="1" applyNumberFormat="1" applyFont="1"/>
    <xf numFmtId="166" fontId="0" fillId="0" borderId="0" xfId="3" applyNumberFormat="1" applyFont="1"/>
    <xf numFmtId="43" fontId="0" fillId="0" borderId="0" xfId="3" applyFont="1"/>
    <xf numFmtId="43" fontId="2" fillId="0" borderId="0" xfId="3" applyFont="1"/>
    <xf numFmtId="167" fontId="0" fillId="0" borderId="0" xfId="2" applyNumberFormat="1" applyFon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44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Z45"/>
  <sheetViews>
    <sheetView tabSelected="1" topLeftCell="K17" workbookViewId="0">
      <selection activeCell="M39" sqref="M39"/>
    </sheetView>
  </sheetViews>
  <sheetFormatPr defaultRowHeight="15" x14ac:dyDescent="0.25"/>
  <cols>
    <col min="2" max="2" width="15.28515625" bestFit="1" customWidth="1"/>
    <col min="3" max="4" width="18.7109375" customWidth="1"/>
    <col min="5" max="5" width="26.42578125" customWidth="1"/>
    <col min="6" max="11" width="21" customWidth="1"/>
    <col min="12" max="15" width="24.140625" customWidth="1"/>
    <col min="16" max="16" width="27" customWidth="1"/>
    <col min="20" max="20" width="16.28515625" bestFit="1" customWidth="1"/>
    <col min="22" max="22" width="10.5703125" bestFit="1" customWidth="1"/>
  </cols>
  <sheetData>
    <row r="5" spans="5:26" ht="30" x14ac:dyDescent="0.25">
      <c r="E5" s="1" t="s">
        <v>2</v>
      </c>
      <c r="F5" s="2" t="s">
        <v>0</v>
      </c>
      <c r="G5" s="2" t="s">
        <v>5</v>
      </c>
      <c r="H5" s="2" t="s">
        <v>6</v>
      </c>
      <c r="I5" s="2" t="s">
        <v>4</v>
      </c>
      <c r="J5" s="2"/>
      <c r="K5" s="2" t="s">
        <v>9</v>
      </c>
      <c r="L5" s="1" t="s">
        <v>7</v>
      </c>
      <c r="M5" s="1" t="s">
        <v>8</v>
      </c>
      <c r="N5" s="1"/>
      <c r="O5" s="1" t="s">
        <v>1</v>
      </c>
      <c r="P5" s="1" t="s">
        <v>3</v>
      </c>
    </row>
    <row r="6" spans="5:26" x14ac:dyDescent="0.25">
      <c r="F6">
        <v>20.6</v>
      </c>
      <c r="G6">
        <v>5.5</v>
      </c>
      <c r="H6">
        <f>F6+G6</f>
        <v>26.1</v>
      </c>
      <c r="I6">
        <v>33</v>
      </c>
      <c r="K6" t="s">
        <v>10</v>
      </c>
      <c r="L6" s="3">
        <v>21498000</v>
      </c>
      <c r="M6" s="8">
        <v>19250968</v>
      </c>
      <c r="O6" s="9">
        <v>8510000</v>
      </c>
    </row>
    <row r="7" spans="5:26" x14ac:dyDescent="0.25">
      <c r="F7">
        <v>20.6</v>
      </c>
      <c r="G7">
        <v>5.5</v>
      </c>
      <c r="H7">
        <f>F7+G7</f>
        <v>26.1</v>
      </c>
      <c r="I7">
        <v>33</v>
      </c>
      <c r="K7" t="s">
        <v>11</v>
      </c>
      <c r="L7" s="3">
        <v>6000000</v>
      </c>
      <c r="M7" s="8"/>
    </row>
    <row r="8" spans="5:26" x14ac:dyDescent="0.25">
      <c r="F8">
        <f>+F6+F7</f>
        <v>41.2</v>
      </c>
      <c r="G8">
        <f t="shared" ref="G8:H8" si="0">+G6+G7</f>
        <v>11</v>
      </c>
      <c r="H8">
        <f t="shared" si="0"/>
        <v>52.2</v>
      </c>
      <c r="I8">
        <f>+I6+I7</f>
        <v>66</v>
      </c>
      <c r="J8" s="4">
        <f>SUM(L6:L7)</f>
        <v>27498000</v>
      </c>
      <c r="K8" t="s">
        <v>12</v>
      </c>
      <c r="L8" s="3">
        <v>1300000</v>
      </c>
      <c r="M8" s="8"/>
    </row>
    <row r="9" spans="5:26" x14ac:dyDescent="0.25">
      <c r="J9" s="5">
        <f>L13/J8</f>
        <v>0.5454942177612917</v>
      </c>
      <c r="K9" t="s">
        <v>13</v>
      </c>
      <c r="L9" s="3">
        <v>8000000</v>
      </c>
      <c r="M9" s="8"/>
      <c r="O9" s="4">
        <f>L9+L8</f>
        <v>9300000</v>
      </c>
      <c r="P9" s="13">
        <f>O9/M30</f>
        <v>6.8629621430152762E-2</v>
      </c>
    </row>
    <row r="10" spans="5:26" x14ac:dyDescent="0.25">
      <c r="F10" s="7">
        <v>82400000</v>
      </c>
      <c r="K10" t="s">
        <v>15</v>
      </c>
      <c r="L10" s="3">
        <f>SUM(L6:L9)</f>
        <v>36798000</v>
      </c>
      <c r="M10" s="8">
        <f>M6</f>
        <v>19250968</v>
      </c>
      <c r="O10" s="6">
        <f>P34</f>
        <v>4900000</v>
      </c>
      <c r="Y10">
        <v>300</v>
      </c>
      <c r="Z10" t="s">
        <v>29</v>
      </c>
    </row>
    <row r="11" spans="5:26" x14ac:dyDescent="0.25">
      <c r="F11" s="6">
        <f>F10/4</f>
        <v>20600000</v>
      </c>
      <c r="O11" s="4">
        <f>SUM(O9:O10)</f>
        <v>14200000</v>
      </c>
      <c r="P11" s="5">
        <f>O11/P30</f>
        <v>0.10113239797735205</v>
      </c>
      <c r="Y11">
        <v>450</v>
      </c>
      <c r="Z11" t="s">
        <v>30</v>
      </c>
    </row>
    <row r="12" spans="5:26" x14ac:dyDescent="0.25">
      <c r="Y12">
        <v>300</v>
      </c>
      <c r="Z12" t="s">
        <v>31</v>
      </c>
    </row>
    <row r="13" spans="5:26" x14ac:dyDescent="0.25">
      <c r="J13" s="5">
        <f>L13/L10</f>
        <v>0.40763084950269035</v>
      </c>
      <c r="K13" t="s">
        <v>14</v>
      </c>
      <c r="L13" s="3">
        <v>15000000</v>
      </c>
      <c r="M13">
        <v>529032</v>
      </c>
      <c r="N13" s="5">
        <f>M13/M10</f>
        <v>2.7480799926528372E-2</v>
      </c>
      <c r="Y13">
        <v>300</v>
      </c>
      <c r="Z13" t="s">
        <v>32</v>
      </c>
    </row>
    <row r="14" spans="5:26" x14ac:dyDescent="0.25">
      <c r="Y14">
        <v>325</v>
      </c>
      <c r="Z14" t="s">
        <v>33</v>
      </c>
    </row>
    <row r="15" spans="5:26" x14ac:dyDescent="0.25">
      <c r="J15" s="4">
        <f>J8+L13</f>
        <v>42498000</v>
      </c>
      <c r="K15" t="s">
        <v>16</v>
      </c>
      <c r="L15" s="4">
        <f>L13+L10</f>
        <v>51798000</v>
      </c>
      <c r="M15" s="4">
        <f>M10+M13</f>
        <v>19780000</v>
      </c>
      <c r="Y15">
        <f>SUM(Y10:Y14)</f>
        <v>1675</v>
      </c>
    </row>
    <row r="16" spans="5:26" x14ac:dyDescent="0.25">
      <c r="M16" s="6">
        <f>M15/2.15</f>
        <v>9200000</v>
      </c>
      <c r="N16" t="s">
        <v>17</v>
      </c>
      <c r="O16" s="6"/>
    </row>
    <row r="17" spans="2:22" x14ac:dyDescent="0.25">
      <c r="L17" s="6">
        <f>L15+M16</f>
        <v>60998000</v>
      </c>
      <c r="M17" t="s">
        <v>18</v>
      </c>
    </row>
    <row r="18" spans="2:22" x14ac:dyDescent="0.25">
      <c r="C18" s="16" t="s">
        <v>34</v>
      </c>
      <c r="D18" s="16"/>
      <c r="E18" s="6">
        <f>F11*2</f>
        <v>41200000</v>
      </c>
      <c r="F18" s="6">
        <f>E18*0.05</f>
        <v>2060000</v>
      </c>
      <c r="H18" s="4">
        <f>J18</f>
        <v>54947368.421052627</v>
      </c>
      <c r="I18">
        <v>1.0526315789473684</v>
      </c>
      <c r="J18" s="9">
        <f>H6*2*I18*1000000</f>
        <v>54947368.421052627</v>
      </c>
      <c r="L18" s="6">
        <v>66000000</v>
      </c>
      <c r="M18" t="s">
        <v>19</v>
      </c>
    </row>
    <row r="19" spans="2:22" x14ac:dyDescent="0.25">
      <c r="B19" s="7">
        <v>12000000</v>
      </c>
      <c r="C19" s="17" t="s">
        <v>35</v>
      </c>
      <c r="D19" s="17"/>
      <c r="E19" s="7">
        <f>5.5*2*1000000</f>
        <v>11000000</v>
      </c>
      <c r="F19" s="6">
        <f>E19*B21</f>
        <v>1000000</v>
      </c>
      <c r="H19" s="4">
        <f>J19</f>
        <v>27498000</v>
      </c>
      <c r="J19" s="4">
        <f>J8</f>
        <v>27498000</v>
      </c>
      <c r="L19" s="6">
        <v>302000</v>
      </c>
      <c r="M19" t="s">
        <v>20</v>
      </c>
      <c r="N19" s="6">
        <f>L21-L20</f>
        <v>302000</v>
      </c>
    </row>
    <row r="20" spans="2:22" x14ac:dyDescent="0.25">
      <c r="B20" s="6">
        <f>B19-E19</f>
        <v>1000000</v>
      </c>
      <c r="C20" s="18" t="s">
        <v>7</v>
      </c>
      <c r="D20" s="18"/>
      <c r="E20" s="4">
        <f>H19</f>
        <v>27498000</v>
      </c>
      <c r="F20" s="6">
        <f>E20*0.21</f>
        <v>5774580</v>
      </c>
      <c r="H20" s="9">
        <f>M10/2.15</f>
        <v>8953938.6046511624</v>
      </c>
      <c r="J20" s="9">
        <f>M10/2.15</f>
        <v>8953938.6046511624</v>
      </c>
      <c r="L20" s="6">
        <f>SUM(L17:L18)</f>
        <v>126998000</v>
      </c>
    </row>
    <row r="21" spans="2:22" x14ac:dyDescent="0.25">
      <c r="B21">
        <f>B20/E19</f>
        <v>9.0909090909090912E-2</v>
      </c>
      <c r="C21" s="16" t="s">
        <v>7</v>
      </c>
      <c r="D21" s="16"/>
      <c r="E21" s="4">
        <f>H20</f>
        <v>8953938.6046511624</v>
      </c>
      <c r="F21" s="6">
        <f>E21*0.21</f>
        <v>1880327.106976744</v>
      </c>
      <c r="H21" s="4"/>
      <c r="J21" s="7">
        <f>(J19+J20)*1.15</f>
        <v>41919729.395348832</v>
      </c>
      <c r="L21" s="7">
        <v>127300000</v>
      </c>
      <c r="M21" t="s">
        <v>18</v>
      </c>
      <c r="P21">
        <v>10670</v>
      </c>
      <c r="Q21">
        <f>P21*0.1</f>
        <v>1067</v>
      </c>
      <c r="T21" s="6">
        <f>P30</f>
        <v>140410000</v>
      </c>
    </row>
    <row r="22" spans="2:22" x14ac:dyDescent="0.25">
      <c r="C22" t="s">
        <v>25</v>
      </c>
      <c r="E22" s="4">
        <f>O6</f>
        <v>8510000</v>
      </c>
      <c r="F22" s="4">
        <f>SUM(F18:F21)</f>
        <v>10714907.106976744</v>
      </c>
      <c r="H22" s="4">
        <f>SUM(H18:H21)</f>
        <v>91399307.025703803</v>
      </c>
      <c r="J22" s="4">
        <f>J18+J21</f>
        <v>96867097.816401452</v>
      </c>
      <c r="T22" s="7">
        <v>62741377</v>
      </c>
    </row>
    <row r="23" spans="2:22" x14ac:dyDescent="0.25">
      <c r="E23" s="6">
        <f>SUM(E18:E22)</f>
        <v>97161938.604651168</v>
      </c>
      <c r="H23" s="4"/>
      <c r="P23">
        <v>1700000</v>
      </c>
      <c r="T23" s="7">
        <f>38480000*2</f>
        <v>76960000</v>
      </c>
    </row>
    <row r="24" spans="2:22" x14ac:dyDescent="0.25">
      <c r="E24" s="6"/>
      <c r="H24" s="4"/>
      <c r="J24" s="5">
        <f>K24/J8</f>
        <v>0.20728780274929084</v>
      </c>
      <c r="K24" s="4">
        <f>L13-L9-L8</f>
        <v>5700000</v>
      </c>
      <c r="M24" s="11">
        <v>51800000</v>
      </c>
      <c r="N24" s="12">
        <f>M15</f>
        <v>19780000</v>
      </c>
      <c r="P24">
        <f>P23*0.9</f>
        <v>1530000</v>
      </c>
      <c r="T24" s="6">
        <f>SUM(T21:T23)</f>
        <v>280111377</v>
      </c>
      <c r="V24" s="4">
        <f>T24/170000</f>
        <v>1647.7139823529412</v>
      </c>
    </row>
    <row r="25" spans="2:22" ht="15.75" thickBot="1" x14ac:dyDescent="0.3">
      <c r="K25" s="4">
        <f>L13-K24</f>
        <v>9300000</v>
      </c>
    </row>
    <row r="26" spans="2:22" ht="15.75" thickTop="1" x14ac:dyDescent="0.25">
      <c r="C26" s="19"/>
      <c r="D26" s="20"/>
      <c r="E26" s="21"/>
      <c r="N26" s="7">
        <f>N24/2.15</f>
        <v>9200000</v>
      </c>
    </row>
    <row r="27" spans="2:22" x14ac:dyDescent="0.25">
      <c r="B27" s="4">
        <f>E20+E21</f>
        <v>36451938.604651161</v>
      </c>
      <c r="C27" s="22"/>
      <c r="D27" s="23" t="s">
        <v>19</v>
      </c>
      <c r="E27" s="24">
        <f>E18*1.1</f>
        <v>45320000</v>
      </c>
      <c r="F27" s="4"/>
      <c r="G27" s="4">
        <f>J29*0.95</f>
        <v>41807581.820763282</v>
      </c>
      <c r="I27" t="s">
        <v>21</v>
      </c>
      <c r="J27" s="4">
        <f>J8+(M10/2.15)</f>
        <v>36451938.604651161</v>
      </c>
      <c r="L27" t="s">
        <v>23</v>
      </c>
      <c r="M27" s="7">
        <f>M24+N26</f>
        <v>61000000</v>
      </c>
      <c r="N27" s="13">
        <f>M27/$P$30</f>
        <v>0.43444199131116018</v>
      </c>
    </row>
    <row r="28" spans="2:22" x14ac:dyDescent="0.25">
      <c r="B28" s="9">
        <f>10700000</f>
        <v>10700000</v>
      </c>
      <c r="C28" s="22">
        <f>B28/B27</f>
        <v>0.29353720020352253</v>
      </c>
      <c r="D28" s="23" t="s">
        <v>36</v>
      </c>
      <c r="E28" s="24">
        <f>E19*1.05</f>
        <v>11550000</v>
      </c>
      <c r="F28" s="4"/>
      <c r="G28" s="9">
        <f>27500000</f>
        <v>27500000</v>
      </c>
      <c r="J28" s="4">
        <f>J27*J24</f>
        <v>7556042.2593101896</v>
      </c>
      <c r="L28" t="s">
        <v>24</v>
      </c>
      <c r="M28" s="7">
        <v>66000000</v>
      </c>
      <c r="N28" s="13">
        <f t="shared" ref="N28:N29" si="1">M28/$P$30</f>
        <v>0.47005199059896019</v>
      </c>
      <c r="O28" t="s">
        <v>22</v>
      </c>
      <c r="P28" s="7">
        <v>131900000</v>
      </c>
    </row>
    <row r="29" spans="2:22" x14ac:dyDescent="0.25">
      <c r="C29" s="22"/>
      <c r="D29" s="23" t="s">
        <v>37</v>
      </c>
      <c r="E29" s="24">
        <f>E20*0.8</f>
        <v>21998400</v>
      </c>
      <c r="G29" s="10">
        <f>22000000*0.03</f>
        <v>660000</v>
      </c>
      <c r="J29" s="4">
        <f>J27+J28</f>
        <v>44007980.863961354</v>
      </c>
      <c r="L29" t="s">
        <v>25</v>
      </c>
      <c r="M29" s="4">
        <f>O6</f>
        <v>8510000</v>
      </c>
      <c r="N29" s="13">
        <f t="shared" si="1"/>
        <v>6.0608218787835622E-2</v>
      </c>
      <c r="P29" s="4">
        <f>M29</f>
        <v>8510000</v>
      </c>
    </row>
    <row r="30" spans="2:22" x14ac:dyDescent="0.25">
      <c r="C30" s="22"/>
      <c r="D30" s="23" t="s">
        <v>38</v>
      </c>
      <c r="E30" s="24">
        <f>E21*0.8</f>
        <v>7163150.8837209307</v>
      </c>
      <c r="G30" s="4">
        <f>(G28+G29)*2</f>
        <v>56320000</v>
      </c>
      <c r="J30" s="4">
        <f>J29+J18</f>
        <v>98955349.285013974</v>
      </c>
      <c r="L30" t="s">
        <v>26</v>
      </c>
      <c r="M30" s="6">
        <f>SUM(M27:M29)</f>
        <v>135510000</v>
      </c>
      <c r="N30" s="14">
        <f>SUM(N27:N29)</f>
        <v>0.96510220069795594</v>
      </c>
      <c r="P30" s="6">
        <f>SUM(P28:P29)</f>
        <v>140410000</v>
      </c>
    </row>
    <row r="31" spans="2:22" x14ac:dyDescent="0.25">
      <c r="C31" s="22"/>
      <c r="D31" s="23" t="s">
        <v>25</v>
      </c>
      <c r="E31" s="25">
        <f>E22</f>
        <v>8510000</v>
      </c>
      <c r="G31" s="4">
        <f>G27+G30</f>
        <v>98127581.82076329</v>
      </c>
      <c r="J31" s="4">
        <f>O6</f>
        <v>8510000</v>
      </c>
      <c r="P31" s="6">
        <f>P30/170000</f>
        <v>825.94117647058829</v>
      </c>
      <c r="Q31" t="s">
        <v>28</v>
      </c>
    </row>
    <row r="32" spans="2:22" x14ac:dyDescent="0.25">
      <c r="C32" s="22"/>
      <c r="D32" s="23"/>
      <c r="E32" s="24">
        <f>SUM(E27:E31)</f>
        <v>94541550.883720934</v>
      </c>
      <c r="G32" s="4">
        <f>J31</f>
        <v>8510000</v>
      </c>
      <c r="J32" s="4">
        <f>J30+J31</f>
        <v>107465349.28501397</v>
      </c>
      <c r="L32" s="9">
        <v>141000000</v>
      </c>
      <c r="M32" s="7">
        <v>141000000</v>
      </c>
    </row>
    <row r="33" spans="3:17" x14ac:dyDescent="0.25">
      <c r="C33" s="22"/>
      <c r="D33" s="23"/>
      <c r="E33" s="26"/>
      <c r="G33" s="6">
        <f>G31+G32</f>
        <v>106637581.82076329</v>
      </c>
      <c r="J33" s="6">
        <f>J32/170000</f>
        <v>632.14911344125869</v>
      </c>
      <c r="L33" s="6">
        <f>L32/170000</f>
        <v>829.41176470588232</v>
      </c>
    </row>
    <row r="34" spans="3:17" x14ac:dyDescent="0.25">
      <c r="C34" s="22"/>
      <c r="D34" s="23"/>
      <c r="E34" s="24">
        <f>E32/170000</f>
        <v>556.12676990424075</v>
      </c>
      <c r="G34" s="6">
        <f>G33/170000</f>
        <v>627.27989306331347</v>
      </c>
      <c r="M34" s="6">
        <f>M32-M30</f>
        <v>5490000</v>
      </c>
      <c r="N34" t="s">
        <v>27</v>
      </c>
      <c r="P34" s="6">
        <f>P30-M30</f>
        <v>4900000</v>
      </c>
      <c r="Q34" s="13">
        <f>P34/P30</f>
        <v>3.4897799302044015E-2</v>
      </c>
    </row>
    <row r="35" spans="3:17" x14ac:dyDescent="0.25">
      <c r="C35" s="22"/>
      <c r="D35" s="23"/>
      <c r="E35" s="26"/>
      <c r="G35">
        <v>88</v>
      </c>
    </row>
    <row r="36" spans="3:17" x14ac:dyDescent="0.25">
      <c r="C36" s="22"/>
      <c r="D36" s="23"/>
      <c r="E36" s="26"/>
      <c r="L36" s="10">
        <v>66000000</v>
      </c>
      <c r="M36" s="13">
        <f>L36/$L$40</f>
        <v>0.47005199059896019</v>
      </c>
    </row>
    <row r="37" spans="3:17" ht="15.75" thickBot="1" x14ac:dyDescent="0.3">
      <c r="C37" s="27"/>
      <c r="D37" s="28"/>
      <c r="E37" s="29"/>
      <c r="G37">
        <f>G35/4</f>
        <v>22</v>
      </c>
      <c r="L37" s="10">
        <v>61000000</v>
      </c>
      <c r="M37" s="13">
        <f>L37/$L$40</f>
        <v>0.43444199131116018</v>
      </c>
    </row>
    <row r="38" spans="3:17" ht="15.75" thickTop="1" x14ac:dyDescent="0.25">
      <c r="L38" s="4">
        <f>O6</f>
        <v>8510000</v>
      </c>
      <c r="M38" s="13">
        <f>L38/$L$40</f>
        <v>6.0608218787835622E-2</v>
      </c>
    </row>
    <row r="39" spans="3:17" x14ac:dyDescent="0.25">
      <c r="L39" s="30">
        <f>L40-L36-L37-L38</f>
        <v>4900000</v>
      </c>
      <c r="M39" s="13">
        <f>L39/L40</f>
        <v>3.4897799302044015E-2</v>
      </c>
    </row>
    <row r="40" spans="3:17" x14ac:dyDescent="0.25">
      <c r="D40" s="7">
        <v>9300000</v>
      </c>
      <c r="E40" s="13">
        <f>D40/D41</f>
        <v>0.155</v>
      </c>
      <c r="L40" s="10">
        <v>140410000</v>
      </c>
    </row>
    <row r="41" spans="3:17" x14ac:dyDescent="0.25">
      <c r="D41" s="7">
        <v>60000000</v>
      </c>
    </row>
    <row r="42" spans="3:17" x14ac:dyDescent="0.25">
      <c r="E42" s="7">
        <f>95000000</f>
        <v>95000000</v>
      </c>
      <c r="G42" s="6">
        <f>T21</f>
        <v>140410000</v>
      </c>
    </row>
    <row r="43" spans="3:17" x14ac:dyDescent="0.25">
      <c r="E43" s="6">
        <f>E42-E32</f>
        <v>458449.11627906561</v>
      </c>
      <c r="G43" s="6">
        <f>G42-E42</f>
        <v>45410000</v>
      </c>
      <c r="H43" s="5">
        <f>G43/E42</f>
        <v>0.47799999999999998</v>
      </c>
    </row>
    <row r="45" spans="3:17" x14ac:dyDescent="0.25">
      <c r="C45">
        <f>21.9+2.5</f>
        <v>24.4</v>
      </c>
      <c r="E45" s="15">
        <f>E42/170000</f>
        <v>558.82352941176475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Bohrt</dc:creator>
  <cp:lastModifiedBy>Gloria Bohrt</cp:lastModifiedBy>
  <dcterms:created xsi:type="dcterms:W3CDTF">2014-08-27T19:39:07Z</dcterms:created>
  <dcterms:modified xsi:type="dcterms:W3CDTF">2014-08-30T16:51:33Z</dcterms:modified>
</cp:coreProperties>
</file>